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W&amp;B" sheetId="1" r:id="rId1"/>
    <sheet name="CG Chart Data" sheetId="2" r:id="rId2"/>
  </sheets>
  <definedNames>
    <definedName name="fuel_CG">'W&amp;B'!$C$4</definedName>
    <definedName name="fuel_increment">'CG Chart Data'!$E$3</definedName>
    <definedName name="x">#REF!</definedName>
    <definedName name="y">#REF!</definedName>
  </definedNames>
  <calcPr fullCalcOnLoad="1"/>
</workbook>
</file>

<file path=xl/comments1.xml><?xml version="1.0" encoding="utf-8"?>
<comments xmlns="http://schemas.openxmlformats.org/spreadsheetml/2006/main">
  <authors>
    <author>Mark Merrell</author>
    <author>Douglas C. McArthur</author>
    <author>me</author>
    <author>Me</author>
  </authors>
  <commentList>
    <comment ref="E4" authorId="0">
      <text>
        <r>
          <rPr>
            <b/>
            <sz val="8"/>
            <rFont val="Tahoma"/>
            <family val="0"/>
          </rPr>
          <t>Gallons of usable Fuel 
75 gals Max
(adjust this number)</t>
        </r>
      </text>
    </comment>
    <comment ref="E5" authorId="0">
      <text>
        <r>
          <rPr>
            <b/>
            <sz val="8"/>
            <rFont val="Tahoma"/>
            <family val="0"/>
          </rPr>
          <t>Range of the Seat
Center @ 37</t>
        </r>
      </text>
    </comment>
    <comment ref="E6" authorId="0">
      <text>
        <r>
          <rPr>
            <b/>
            <sz val="8"/>
            <rFont val="Tahoma"/>
            <family val="0"/>
          </rPr>
          <t>Range of the Seat
Center @ 37</t>
        </r>
      </text>
    </comment>
    <comment ref="E12" authorId="1">
      <text>
        <r>
          <rPr>
            <b/>
            <sz val="8"/>
            <rFont val="Tahoma"/>
            <family val="0"/>
          </rPr>
          <t>Maximum Ramp Weight</t>
        </r>
      </text>
    </comment>
    <comment ref="E14" authorId="1">
      <text>
        <r>
          <rPr>
            <b/>
            <sz val="8"/>
            <rFont val="Tahoma"/>
            <family val="0"/>
          </rPr>
          <t>MaximumTakeoff &amp; Landing Weight</t>
        </r>
      </text>
    </comment>
    <comment ref="A4" authorId="2">
      <text>
        <r>
          <rPr>
            <b/>
            <sz val="8"/>
            <rFont val="Times New Roman"/>
            <family val="1"/>
          </rPr>
          <t>40 gals in each tank.
37.5 usable in each.</t>
        </r>
      </text>
    </comment>
    <comment ref="A9" authorId="3">
      <text>
        <r>
          <rPr>
            <b/>
            <sz val="8"/>
            <rFont val="Tahoma"/>
            <family val="0"/>
          </rPr>
          <t>Max weight is 80 lbs.
200 lbs Max between baggage "A"," B" &amp; Hatshelf.</t>
        </r>
      </text>
    </comment>
    <comment ref="A10" authorId="3">
      <text>
        <r>
          <rPr>
            <b/>
            <sz val="8"/>
            <rFont val="Tahoma"/>
            <family val="0"/>
          </rPr>
          <t>Max weight is 25 lbs.
200 lbs Max between baggage "A"," B" &amp; Hatshelf.</t>
        </r>
      </text>
    </comment>
    <comment ref="A8" authorId="3">
      <text>
        <r>
          <rPr>
            <b/>
            <sz val="8"/>
            <rFont val="Tahoma"/>
            <family val="0"/>
          </rPr>
          <t>Max weight 120 lbs.
200 lbs Max between baggage "A"," B" &amp; Hatshelf.</t>
        </r>
      </text>
    </comment>
    <comment ref="E8" authorId="3">
      <text>
        <r>
          <rPr>
            <b/>
            <sz val="8"/>
            <rFont val="Tahoma"/>
            <family val="0"/>
          </rPr>
          <t>Range of baggage "A"
Center @ 97</t>
        </r>
      </text>
    </comment>
    <comment ref="E9" authorId="3">
      <text>
        <r>
          <rPr>
            <b/>
            <sz val="8"/>
            <rFont val="Tahoma"/>
            <family val="0"/>
          </rPr>
          <t>Range of baggage "B"
Center @ 115</t>
        </r>
      </text>
    </comment>
    <comment ref="E10" authorId="3">
      <text>
        <r>
          <rPr>
            <b/>
            <sz val="8"/>
            <rFont val="Tahoma"/>
            <family val="0"/>
          </rPr>
          <t>Range of Hatshelf
Center @ 130</t>
        </r>
      </text>
    </comment>
    <comment ref="A3" authorId="3">
      <text>
        <r>
          <rPr>
            <b/>
            <sz val="8"/>
            <rFont val="Tahoma"/>
            <family val="0"/>
          </rPr>
          <t>Basic empty weight includes unsable fuel and 12 quarts of oil.</t>
        </r>
      </text>
    </comment>
  </commentList>
</comments>
</file>

<file path=xl/sharedStrings.xml><?xml version="1.0" encoding="utf-8"?>
<sst xmlns="http://schemas.openxmlformats.org/spreadsheetml/2006/main" count="73" uniqueCount="67">
  <si>
    <t>Basic Empty Weight</t>
  </si>
  <si>
    <t>Pilot</t>
  </si>
  <si>
    <t>Weight (lbs)</t>
  </si>
  <si>
    <t>Arm (inches)</t>
  </si>
  <si>
    <t>Ramp Weight</t>
  </si>
  <si>
    <t>Fuel used during Start, Taxi &amp; Runup</t>
  </si>
  <si>
    <t>Takeoff Weight</t>
  </si>
  <si>
    <t>CG  =</t>
  </si>
  <si>
    <t>inches</t>
  </si>
  <si>
    <t>Baggage "A" (Forward)</t>
  </si>
  <si>
    <t>Moment (in-lbs/ 1000)</t>
  </si>
  <si>
    <t>Rear Passengers</t>
  </si>
  <si>
    <t>AIRCRAFT WEIGHT (POUNDS)</t>
  </si>
  <si>
    <t>AIRCRAFT C.G. LOCATION - INCHES AFT OF DATUM</t>
  </si>
  <si>
    <t>LOADED AIRCRAFT MOMENT/1000 (POUND-INCHES)</t>
  </si>
  <si>
    <t>LOADED AIRCRAFT WEIGHT (POUNDS)</t>
  </si>
  <si>
    <t>cg</t>
  </si>
  <si>
    <t>weight</t>
  </si>
  <si>
    <t>Max Gross Weight</t>
  </si>
  <si>
    <t>&lt;- Over Gross Flag</t>
  </si>
  <si>
    <t>&lt;- CG Flag</t>
  </si>
  <si>
    <t>&lt;- Moment Flag</t>
  </si>
  <si>
    <t>Max Landing Weight</t>
  </si>
  <si>
    <t>Over Landing Weight</t>
  </si>
  <si>
    <t>green</t>
  </si>
  <si>
    <t>as needed.</t>
  </si>
  <si>
    <r>
      <t>NOTE</t>
    </r>
    <r>
      <rPr>
        <sz val="9"/>
        <rFont val="Arial"/>
        <family val="2"/>
      </rPr>
      <t xml:space="preserve">: Adjust values in </t>
    </r>
  </si>
  <si>
    <t>Fuel Usage Estimate</t>
  </si>
  <si>
    <t>Engine Start, Taxi &amp; Takeoff (POH)</t>
  </si>
  <si>
    <t>Cruise Altitude</t>
  </si>
  <si>
    <t>Fuel Burn(gph) for % of Power used</t>
  </si>
  <si>
    <t>Top Of Climb</t>
  </si>
  <si>
    <t>Field Elevation</t>
  </si>
  <si>
    <t>Climb Rate (fpm)</t>
  </si>
  <si>
    <t>Cruise</t>
  </si>
  <si>
    <t>Taxi &amp; Shutdown</t>
  </si>
  <si>
    <t>Reserve - 30 min day / 45 min night</t>
  </si>
  <si>
    <t>Cruise Time in Hours</t>
  </si>
  <si>
    <t>Cruise Altitude ft / Climb rate fpm * (100% power burn gph / 60 min)</t>
  </si>
  <si>
    <t xml:space="preserve"> = TOC Fuel Used</t>
  </si>
  <si>
    <t>&lt;- min miles -&gt;</t>
  </si>
  <si>
    <t>TOC (time &amp; dist) -</t>
  </si>
  <si>
    <t>Baggage "B" (Aft)</t>
  </si>
  <si>
    <t>Landing Weight, CG, Mnt</t>
  </si>
  <si>
    <t>Weight</t>
  </si>
  <si>
    <t>Moment</t>
  </si>
  <si>
    <t>CG</t>
  </si>
  <si>
    <t>gal</t>
  </si>
  <si>
    <t>fuel left</t>
  </si>
  <si>
    <t xml:space="preserve">Could be used for landing weight &amp; CG. </t>
  </si>
  <si>
    <t>gal per increment</t>
  </si>
  <si>
    <t>Fuel Burn (gal/ hr)</t>
  </si>
  <si>
    <t>Fuel Burn (lbs / min)</t>
  </si>
  <si>
    <t>Fuel (80 gal max)</t>
  </si>
  <si>
    <t>Front Passenger</t>
  </si>
  <si>
    <t xml:space="preserve">Total gallons needed - </t>
  </si>
  <si>
    <t>2950</t>
  </si>
  <si>
    <t>82-108</t>
  </si>
  <si>
    <t>Baggage "Hatshelf"</t>
  </si>
  <si>
    <t>Fuel Burn(gph) 2400 rpm 23"hg (90kts)</t>
  </si>
  <si>
    <t>32-50</t>
  </si>
  <si>
    <t>108-124</t>
  </si>
  <si>
    <t>124-136</t>
  </si>
  <si>
    <t>2960.2</t>
  </si>
  <si>
    <t>&lt;- Take Off 
    Only Flag                     Usually set @ Ramp weight &gt; Max weight</t>
  </si>
  <si>
    <t>Useful Load: 654 lbs w/ full fuel</t>
  </si>
  <si>
    <t>Skylane Weight and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</si>
</sst>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5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18"/>
      <name val="Times New Roman"/>
      <family val="1"/>
    </font>
    <font>
      <b/>
      <sz val="8"/>
      <name val="Times New Roman"/>
      <family val="1"/>
    </font>
    <font>
      <b/>
      <u val="single"/>
      <sz val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.5"/>
      <color indexed="8"/>
      <name val="Arial"/>
      <family val="0"/>
    </font>
    <font>
      <sz val="6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 quotePrefix="1">
      <alignment wrapText="1"/>
    </xf>
    <xf numFmtId="0" fontId="0" fillId="0" borderId="0" xfId="0" applyAlignment="1" quotePrefix="1">
      <alignment/>
    </xf>
    <xf numFmtId="0" fontId="2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Border="1" applyAlignment="1">
      <alignment wrapText="1"/>
    </xf>
    <xf numFmtId="0" fontId="0" fillId="0" borderId="10" xfId="0" applyBorder="1" applyAlignment="1">
      <alignment horizontal="right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22" xfId="0" applyNumberFormat="1" applyFont="1" applyBorder="1" applyAlignment="1">
      <alignment wrapText="1"/>
    </xf>
    <xf numFmtId="2" fontId="3" fillId="0" borderId="22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2" fontId="3" fillId="0" borderId="23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3" fillId="33" borderId="22" xfId="0" applyNumberFormat="1" applyFont="1" applyFill="1" applyBorder="1" applyAlignment="1">
      <alignment wrapText="1"/>
    </xf>
    <xf numFmtId="0" fontId="3" fillId="33" borderId="22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2" fontId="3" fillId="0" borderId="22" xfId="0" applyNumberFormat="1" applyFont="1" applyBorder="1" applyAlignment="1" applyProtection="1">
      <alignment wrapText="1"/>
      <protection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8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right" wrapText="1"/>
    </xf>
    <xf numFmtId="0" fontId="3" fillId="34" borderId="16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2" fontId="3" fillId="33" borderId="22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34" borderId="31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ont>
        <b/>
        <i val="0"/>
      </font>
    </dxf>
    <dxf>
      <font>
        <b/>
        <i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ill>
        <patternFill patternType="darkUp"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"/>
          <c:w val="0.93"/>
          <c:h val="0.923"/>
        </c:manualLayout>
      </c:layout>
      <c:scatterChart>
        <c:scatterStyle val="lineMarker"/>
        <c:varyColors val="0"/>
        <c:ser>
          <c:idx val="1"/>
          <c:order val="0"/>
          <c:tx>
            <c:v>Take_Off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'W&amp;B'!$C$15</c:f>
              <c:numCache/>
            </c:numRef>
          </c:xVal>
          <c:yVal>
            <c:numRef>
              <c:f>'W&amp;B'!$B$14</c:f>
              <c:numCache/>
            </c:numRef>
          </c:yVal>
          <c:smooth val="0"/>
        </c:ser>
        <c:ser>
          <c:idx val="2"/>
          <c:order val="1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Chart Data'!$G$3:$G$24</c:f>
              <c:numCache>
                <c:ptCount val="22"/>
                <c:pt idx="1">
                  <c:v>37.497256040211205</c:v>
                </c:pt>
                <c:pt idx="2">
                  <c:v>37.39513813106656</c:v>
                </c:pt>
                <c:pt idx="3">
                  <c:v>37.29096959744391</c:v>
                </c:pt>
                <c:pt idx="4">
                  <c:v>37.18468804514904</c:v>
                </c:pt>
                <c:pt idx="5">
                  <c:v>37.07622852276711</c:v>
                </c:pt>
                <c:pt idx="6">
                  <c:v>36.96552338929709</c:v>
                </c:pt>
                <c:pt idx="7">
                  <c:v>36.852502173478435</c:v>
                </c:pt>
                <c:pt idx="8">
                  <c:v>36.737091424195285</c:v>
                </c:pt>
                <c:pt idx="9">
                  <c:v>36.61921455129086</c:v>
                </c:pt>
                <c:pt idx="10">
                  <c:v>36.49879165606714</c:v>
                </c:pt>
                <c:pt idx="11">
                  <c:v>36.375739350681464</c:v>
                </c:pt>
                <c:pt idx="12">
                  <c:v>36.24997056558231</c:v>
                </c:pt>
                <c:pt idx="13">
                  <c:v>36.12139434404962</c:v>
                </c:pt>
                <c:pt idx="14">
                  <c:v>35.98991562282094</c:v>
                </c:pt>
                <c:pt idx="15">
                  <c:v>35.85543499769141</c:v>
                </c:pt>
                <c:pt idx="16">
                  <c:v>35.717848472872994</c:v>
                </c:pt>
                <c:pt idx="17">
                  <c:v>35.57704719278475</c:v>
                </c:pt>
                <c:pt idx="18">
                  <c:v>35.43291715482047</c:v>
                </c:pt>
                <c:pt idx="19">
                  <c:v>35.28533890150081</c:v>
                </c:pt>
                <c:pt idx="20">
                  <c:v>35.13418719026271</c:v>
                </c:pt>
                <c:pt idx="21">
                  <c:v>34.97933063896767</c:v>
                </c:pt>
              </c:numCache>
            </c:numRef>
          </c:xVal>
          <c:yVal>
            <c:numRef>
              <c:f>'CG Chart Data'!$E$3:$E$24</c:f>
              <c:numCache>
                <c:ptCount val="22"/>
                <c:pt idx="0">
                  <c:v>22.5</c:v>
                </c:pt>
                <c:pt idx="1">
                  <c:v>2285.9300000000003</c:v>
                </c:pt>
                <c:pt idx="2">
                  <c:v>2263.4300000000003</c:v>
                </c:pt>
                <c:pt idx="3">
                  <c:v>2240.9300000000003</c:v>
                </c:pt>
                <c:pt idx="4">
                  <c:v>2218.4300000000003</c:v>
                </c:pt>
                <c:pt idx="5">
                  <c:v>2195.9300000000003</c:v>
                </c:pt>
                <c:pt idx="6">
                  <c:v>2173.4300000000003</c:v>
                </c:pt>
                <c:pt idx="7">
                  <c:v>2150.9300000000003</c:v>
                </c:pt>
                <c:pt idx="8">
                  <c:v>2128.4300000000003</c:v>
                </c:pt>
                <c:pt idx="9">
                  <c:v>2105.9300000000003</c:v>
                </c:pt>
                <c:pt idx="10">
                  <c:v>2083.4300000000003</c:v>
                </c:pt>
                <c:pt idx="11">
                  <c:v>2060.9300000000003</c:v>
                </c:pt>
                <c:pt idx="12">
                  <c:v>2038.4300000000003</c:v>
                </c:pt>
                <c:pt idx="13">
                  <c:v>2015.9300000000003</c:v>
                </c:pt>
                <c:pt idx="14">
                  <c:v>1993.4300000000003</c:v>
                </c:pt>
                <c:pt idx="15">
                  <c:v>1970.9300000000003</c:v>
                </c:pt>
                <c:pt idx="16">
                  <c:v>1948.4300000000003</c:v>
                </c:pt>
                <c:pt idx="17">
                  <c:v>1925.9300000000003</c:v>
                </c:pt>
                <c:pt idx="18">
                  <c:v>1903.4300000000003</c:v>
                </c:pt>
                <c:pt idx="19">
                  <c:v>1880.9300000000003</c:v>
                </c:pt>
                <c:pt idx="20">
                  <c:v>1858.4300000000003</c:v>
                </c:pt>
                <c:pt idx="21">
                  <c:v>1835.9300000000003</c:v>
                </c:pt>
              </c:numCache>
            </c:numRef>
          </c:yVal>
          <c:smooth val="0"/>
        </c:ser>
        <c:ser>
          <c:idx val="3"/>
          <c:order val="2"/>
          <c:tx>
            <c:v>TakeOffOnly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Chart Data'!$A$3:$A$7</c:f>
              <c:numCach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48.5</c:v>
                </c:pt>
                <c:pt idx="4">
                  <c:v>48.5</c:v>
                </c:pt>
              </c:numCache>
            </c:numRef>
          </c:xVal>
          <c:yVal>
            <c:numRef>
              <c:f>'CG Chart Data'!$B$3:$B$7</c:f>
              <c:numCach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</c:ser>
        <c:ser>
          <c:idx val="0"/>
          <c:order val="3"/>
          <c:tx>
            <c:v>MaxRampWt</c:v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39</c:v>
              </c:pt>
              <c:pt idx="1">
                <c:v>48.5</c:v>
              </c:pt>
            </c:numLit>
          </c:xVal>
          <c:yVal>
            <c:numLit>
              <c:ptCount val="2"/>
              <c:pt idx="0">
                <c:v>2960.2</c:v>
              </c:pt>
              <c:pt idx="1">
                <c:v>2960.2</c:v>
              </c:pt>
            </c:numLit>
          </c:yVal>
          <c:smooth val="0"/>
        </c:ser>
        <c:ser>
          <c:idx val="4"/>
          <c:order val="4"/>
          <c:tx>
            <c:v>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'W&amp;B'!$C$16</c:f>
              <c:numCache/>
            </c:numRef>
          </c:xVal>
          <c:yVal>
            <c:numRef>
              <c:f>'W&amp;B'!$B$16</c:f>
              <c:numCache/>
            </c:numRef>
          </c:yVal>
          <c:smooth val="0"/>
        </c:ser>
        <c:axId val="17313156"/>
        <c:axId val="21600677"/>
      </c:scatterChart>
      <c:valAx>
        <c:axId val="17313156"/>
        <c:scaling>
          <c:orientation val="minMax"/>
          <c:max val="49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- INCHES AFT OF DATUM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0677"/>
        <c:crossesAt val="1800"/>
        <c:crossBetween val="midCat"/>
        <c:dispUnits/>
        <c:majorUnit val="1"/>
        <c:minorUnit val="0.2"/>
      </c:valAx>
      <c:valAx>
        <c:axId val="21600677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WEIGHT (POUNDS)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At val="32"/>
        <c:crossBetween val="midCat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3675"/>
          <c:h val="0.8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'CG Chart Data'!$A$17:$B$17</c:f>
              <c:strCache>
                <c:ptCount val="1"/>
                <c:pt idx="0">
                  <c:v>LOADED AIRCRAFT MOMENT/1000 (POUND-INCHES) LOADED AIRCRAFT WEIGHT (POUNDS)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Chart Data'!$A$18:$A$22</c:f>
              <c:numCache>
                <c:ptCount val="5"/>
                <c:pt idx="0">
                  <c:v>59.5</c:v>
                </c:pt>
                <c:pt idx="1">
                  <c:v>74</c:v>
                </c:pt>
                <c:pt idx="2">
                  <c:v>116.5</c:v>
                </c:pt>
                <c:pt idx="3">
                  <c:v>143</c:v>
                </c:pt>
                <c:pt idx="4">
                  <c:v>87</c:v>
                </c:pt>
              </c:numCache>
            </c:numRef>
          </c:xVal>
          <c:yVal>
            <c:numRef>
              <c:f>'CG Chart Data'!$B$18:$B$22</c:f>
              <c:numCach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</c:ser>
        <c:ser>
          <c:idx val="2"/>
          <c:order val="1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'CG Chart Data'!$F$3:$F$24</c:f>
              <c:numCache>
                <c:ptCount val="22"/>
                <c:pt idx="1">
                  <c:v>85.7161025</c:v>
                </c:pt>
                <c:pt idx="2">
                  <c:v>84.6412775</c:v>
                </c:pt>
                <c:pt idx="3">
                  <c:v>83.5664525</c:v>
                </c:pt>
                <c:pt idx="4">
                  <c:v>82.49162749999999</c:v>
                </c:pt>
                <c:pt idx="5">
                  <c:v>81.41680249999999</c:v>
                </c:pt>
                <c:pt idx="6">
                  <c:v>80.34197749999998</c:v>
                </c:pt>
                <c:pt idx="7">
                  <c:v>79.26715249999998</c:v>
                </c:pt>
                <c:pt idx="8">
                  <c:v>78.19232749999998</c:v>
                </c:pt>
                <c:pt idx="9">
                  <c:v>77.11750249999997</c:v>
                </c:pt>
                <c:pt idx="10">
                  <c:v>76.04267749999997</c:v>
                </c:pt>
                <c:pt idx="11">
                  <c:v>74.96785249999996</c:v>
                </c:pt>
                <c:pt idx="12">
                  <c:v>73.89302749999996</c:v>
                </c:pt>
                <c:pt idx="13">
                  <c:v>72.81820249999996</c:v>
                </c:pt>
                <c:pt idx="14">
                  <c:v>71.74337749999995</c:v>
                </c:pt>
                <c:pt idx="15">
                  <c:v>70.66855249999995</c:v>
                </c:pt>
                <c:pt idx="16">
                  <c:v>69.59372749999994</c:v>
                </c:pt>
                <c:pt idx="17">
                  <c:v>68.51890249999994</c:v>
                </c:pt>
                <c:pt idx="18">
                  <c:v>67.44407749999993</c:v>
                </c:pt>
                <c:pt idx="19">
                  <c:v>66.36925249999993</c:v>
                </c:pt>
                <c:pt idx="20">
                  <c:v>65.29442749999993</c:v>
                </c:pt>
                <c:pt idx="21">
                  <c:v>64.21960249999992</c:v>
                </c:pt>
              </c:numCache>
            </c:numRef>
          </c:xVal>
          <c:yVal>
            <c:numRef>
              <c:f>'CG Chart Data'!$E$3:$E$24</c:f>
              <c:numCache>
                <c:ptCount val="22"/>
                <c:pt idx="0">
                  <c:v>22.5</c:v>
                </c:pt>
                <c:pt idx="1">
                  <c:v>2285.9300000000003</c:v>
                </c:pt>
                <c:pt idx="2">
                  <c:v>2263.4300000000003</c:v>
                </c:pt>
                <c:pt idx="3">
                  <c:v>2240.9300000000003</c:v>
                </c:pt>
                <c:pt idx="4">
                  <c:v>2218.4300000000003</c:v>
                </c:pt>
                <c:pt idx="5">
                  <c:v>2195.9300000000003</c:v>
                </c:pt>
                <c:pt idx="6">
                  <c:v>2173.4300000000003</c:v>
                </c:pt>
                <c:pt idx="7">
                  <c:v>2150.9300000000003</c:v>
                </c:pt>
                <c:pt idx="8">
                  <c:v>2128.4300000000003</c:v>
                </c:pt>
                <c:pt idx="9">
                  <c:v>2105.9300000000003</c:v>
                </c:pt>
                <c:pt idx="10">
                  <c:v>2083.4300000000003</c:v>
                </c:pt>
                <c:pt idx="11">
                  <c:v>2060.9300000000003</c:v>
                </c:pt>
                <c:pt idx="12">
                  <c:v>2038.4300000000003</c:v>
                </c:pt>
                <c:pt idx="13">
                  <c:v>2015.9300000000003</c:v>
                </c:pt>
                <c:pt idx="14">
                  <c:v>1993.4300000000003</c:v>
                </c:pt>
                <c:pt idx="15">
                  <c:v>1970.9300000000003</c:v>
                </c:pt>
                <c:pt idx="16">
                  <c:v>1948.4300000000003</c:v>
                </c:pt>
                <c:pt idx="17">
                  <c:v>1925.9300000000003</c:v>
                </c:pt>
                <c:pt idx="18">
                  <c:v>1903.4300000000003</c:v>
                </c:pt>
                <c:pt idx="19">
                  <c:v>1880.9300000000003</c:v>
                </c:pt>
                <c:pt idx="20">
                  <c:v>1858.4300000000003</c:v>
                </c:pt>
                <c:pt idx="21">
                  <c:v>1835.9300000000003</c:v>
                </c:pt>
              </c:numCache>
            </c:numRef>
          </c:yVal>
          <c:smooth val="0"/>
        </c:ser>
        <c:ser>
          <c:idx val="1"/>
          <c:order val="2"/>
          <c:tx>
            <c:v>TakeOff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'W&amp;B'!$D$14</c:f>
              <c:numCache/>
            </c:numRef>
          </c:xVal>
          <c:yVal>
            <c:numRef>
              <c:f>'W&amp;B'!$B$14</c:f>
              <c:numCache/>
            </c:numRef>
          </c:yVal>
          <c:smooth val="0"/>
        </c:ser>
        <c:ser>
          <c:idx val="3"/>
          <c:order val="3"/>
          <c:tx>
            <c:v>MaxRampWt</c:v>
          </c:tx>
          <c:spPr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105</c:v>
              </c:pt>
              <c:pt idx="1">
                <c:v>144</c:v>
              </c:pt>
            </c:numLit>
          </c:xVal>
          <c:yVal>
            <c:numLit>
              <c:ptCount val="2"/>
              <c:pt idx="0">
                <c:v>2960.2</c:v>
              </c:pt>
              <c:pt idx="1">
                <c:v>2960.2</c:v>
              </c:pt>
            </c:numLit>
          </c:yVal>
          <c:smooth val="0"/>
        </c:ser>
        <c:ser>
          <c:idx val="4"/>
          <c:order val="4"/>
          <c:tx>
            <c:v>land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'W&amp;B'!$D$16</c:f>
              <c:numCache/>
            </c:numRef>
          </c:xVal>
          <c:yVal>
            <c:numRef>
              <c:f>'W&amp;B'!$B$16</c:f>
              <c:numCache/>
            </c:numRef>
          </c:yVal>
          <c:smooth val="0"/>
        </c:ser>
        <c:axId val="60188366"/>
        <c:axId val="4824383"/>
      </c:scatterChart>
      <c:valAx>
        <c:axId val="60188366"/>
        <c:scaling>
          <c:orientation val="minMax"/>
          <c:max val="14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(LB-IN)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383"/>
        <c:crossesAt val="1800"/>
        <c:crossBetween val="midCat"/>
        <c:dispUnits/>
        <c:majorUnit val="10"/>
        <c:minorUnit val="2"/>
      </c:valAx>
      <c:valAx>
        <c:axId val="4824383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At val="55"/>
        <c:crossBetween val="midCat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'W&amp;B'!#REF!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'W&amp;B'!#REF!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419448"/>
        <c:axId val="55230713"/>
      </c:scatterChart>
      <c:valAx>
        <c:axId val="43419448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crossBetween val="midCat"/>
        <c:dispUnits/>
        <c:majorUnit val="2"/>
        <c:minorUnit val="0.2"/>
      </c:valAx>
      <c:valAx>
        <c:axId val="55230713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crossBetween val="midCat"/>
        <c:dispUnits/>
        <c:majorUnit val="2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'W&amp;B'!#REF!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'W&amp;B'!#REF!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Fuel Burn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D4"/>
              </a:solidFill>
              <a:ln>
                <a:noFill/>
              </a:ln>
            </c:spPr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314370"/>
        <c:axId val="44502739"/>
      </c:scatterChart>
      <c:valAx>
        <c:axId val="27314370"/>
        <c:scaling>
          <c:orientation val="minMax"/>
          <c:max val="115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(IN-LB)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 val="autoZero"/>
        <c:crossBetween val="midCat"/>
        <c:dispUnits/>
        <c:majorUnit val="10"/>
        <c:minorUnit val="1"/>
      </c:valAx>
      <c:valAx>
        <c:axId val="44502739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crossBetween val="midCat"/>
        <c:dispUnits/>
        <c:majorUnit val="2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</cdr:y>
    </cdr:from>
    <cdr:to>
      <cdr:x>0.45</cdr:x>
      <cdr:y>0.0585</cdr:y>
    </cdr:to>
    <cdr:sp>
      <cdr:nvSpPr>
        <cdr:cNvPr id="1" name="Text Box 1"/>
        <cdr:cNvSpPr txBox="1">
          <a:spLocks noChangeArrowheads="1"/>
        </cdr:cNvSpPr>
      </cdr:nvSpPr>
      <cdr:spPr>
        <a:xfrm>
          <a:off x="781050" y="0"/>
          <a:ext cx="1152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 LIMITS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0.0815</cdr:y>
    </cdr:from>
    <cdr:to>
      <cdr:x>0.48475</cdr:x>
      <cdr:y>0.176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209550"/>
          <a:ext cx="1438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 MOMENT ENVELOPE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0.07775</cdr:y>
    </cdr:from>
    <cdr:to>
      <cdr:x>1</cdr:x>
      <cdr:y>0.60475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3716" rIns="18288" bIns="13716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 LIMITS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-0.12</cdr:x>
      <cdr:y>0</cdr:y>
    </cdr:from>
    <cdr:to>
      <cdr:x>1</cdr:x>
      <cdr:y>0.29975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 OF GRAVITY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MOMENT ENVELOPE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</xdr:row>
      <xdr:rowOff>9525</xdr:rowOff>
    </xdr:from>
    <xdr:ext cx="4314825" cy="2552700"/>
    <xdr:graphicFrame>
      <xdr:nvGraphicFramePr>
        <xdr:cNvPr id="1" name="Chart 4"/>
        <xdr:cNvGraphicFramePr/>
      </xdr:nvGraphicFramePr>
      <xdr:xfrm>
        <a:off x="3352800" y="381000"/>
        <a:ext cx="43148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19050</xdr:colOff>
      <xdr:row>12</xdr:row>
      <xdr:rowOff>295275</xdr:rowOff>
    </xdr:from>
    <xdr:ext cx="4314825" cy="2676525"/>
    <xdr:graphicFrame>
      <xdr:nvGraphicFramePr>
        <xdr:cNvPr id="2" name="Chart 6"/>
        <xdr:cNvGraphicFramePr/>
      </xdr:nvGraphicFramePr>
      <xdr:xfrm>
        <a:off x="3352800" y="2933700"/>
        <a:ext cx="43148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3" name="Chart 9"/>
        <xdr:cNvGraphicFramePr/>
      </xdr:nvGraphicFramePr>
      <xdr:xfrm>
        <a:off x="3924300" y="5114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4" name="Chart 10"/>
        <xdr:cNvGraphicFramePr/>
      </xdr:nvGraphicFramePr>
      <xdr:xfrm>
        <a:off x="3924300" y="5114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Zeros="0" tabSelected="1" zoomScaleSheetLayoutView="100" workbookViewId="0" topLeftCell="A1">
      <selection activeCell="I30" sqref="I30"/>
    </sheetView>
  </sheetViews>
  <sheetFormatPr defaultColWidth="9.140625" defaultRowHeight="18" customHeight="1"/>
  <cols>
    <col min="1" max="1" width="20.00390625" style="53" customWidth="1"/>
    <col min="2" max="2" width="7.421875" style="53" customWidth="1"/>
    <col min="3" max="3" width="7.140625" style="53" customWidth="1"/>
    <col min="4" max="4" width="7.7109375" style="53" customWidth="1"/>
    <col min="5" max="5" width="7.7109375" style="60" customWidth="1"/>
    <col min="6" max="6" width="8.8515625" style="50" customWidth="1"/>
    <col min="7" max="7" width="7.8515625" style="51" customWidth="1"/>
    <col min="8" max="8" width="9.140625" style="52" customWidth="1"/>
    <col min="9" max="12" width="9.140625" style="53" customWidth="1"/>
    <col min="13" max="13" width="4.8515625" style="53" customWidth="1"/>
    <col min="14" max="14" width="11.28125" style="53" customWidth="1"/>
    <col min="15" max="15" width="11.421875" style="53" bestFit="1" customWidth="1"/>
    <col min="16" max="16" width="8.7109375" style="53" customWidth="1"/>
    <col min="17" max="17" width="12.421875" style="53" customWidth="1"/>
    <col min="18" max="18" width="9.421875" style="53" customWidth="1"/>
    <col min="19" max="19" width="10.421875" style="53" customWidth="1"/>
    <col min="20" max="16384" width="9.140625" style="53" customWidth="1"/>
  </cols>
  <sheetData>
    <row r="1" ht="29.25" customHeight="1">
      <c r="E1" s="102" t="s">
        <v>66</v>
      </c>
    </row>
    <row r="2" spans="1:18" ht="36">
      <c r="A2" s="48"/>
      <c r="B2" s="49" t="s">
        <v>2</v>
      </c>
      <c r="C2" s="49" t="s">
        <v>3</v>
      </c>
      <c r="D2" s="49" t="s">
        <v>10</v>
      </c>
      <c r="E2" s="50"/>
      <c r="N2" s="78"/>
      <c r="O2" s="79"/>
      <c r="P2" s="80" t="s">
        <v>27</v>
      </c>
      <c r="Q2" s="79"/>
      <c r="R2" s="81"/>
    </row>
    <row r="3" spans="1:18" ht="14.25" customHeight="1">
      <c r="A3" s="48" t="s">
        <v>0</v>
      </c>
      <c r="B3" s="55">
        <v>1846.13</v>
      </c>
      <c r="C3" s="55">
        <v>35.05</v>
      </c>
      <c r="D3" s="55">
        <f>IF(B3&lt;&gt;0,B3*C3/1000,"")</f>
        <v>64.7068565</v>
      </c>
      <c r="E3" s="56"/>
      <c r="F3" s="56"/>
      <c r="N3" s="82"/>
      <c r="O3" s="83"/>
      <c r="P3" s="84" t="s">
        <v>32</v>
      </c>
      <c r="Q3" s="76">
        <v>500</v>
      </c>
      <c r="R3" s="77"/>
    </row>
    <row r="4" spans="1:18" ht="14.25" customHeight="1">
      <c r="A4" s="48" t="s">
        <v>53</v>
      </c>
      <c r="B4" s="54">
        <f>E4*6</f>
        <v>450</v>
      </c>
      <c r="C4" s="71">
        <v>47.77</v>
      </c>
      <c r="D4" s="55">
        <f>IF(B4&lt;&gt;0,B4*C4/1000,"")</f>
        <v>21.4965</v>
      </c>
      <c r="E4" s="72">
        <v>75</v>
      </c>
      <c r="F4" s="57"/>
      <c r="N4" s="82"/>
      <c r="O4" s="83"/>
      <c r="P4" s="84" t="s">
        <v>29</v>
      </c>
      <c r="Q4" s="76">
        <v>5500</v>
      </c>
      <c r="R4" s="77"/>
    </row>
    <row r="5" spans="1:18" ht="14.25" customHeight="1">
      <c r="A5" s="48" t="s">
        <v>1</v>
      </c>
      <c r="B5" s="68"/>
      <c r="C5" s="94">
        <v>37</v>
      </c>
      <c r="D5" s="55">
        <f aca="true" t="shared" si="0" ref="D5:D13">IF(B5&lt;&gt;0,B5*C5/1000,"")</f>
      </c>
      <c r="E5" s="73" t="s">
        <v>60</v>
      </c>
      <c r="F5" s="57"/>
      <c r="N5" s="82"/>
      <c r="O5" s="83"/>
      <c r="P5" s="84" t="s">
        <v>37</v>
      </c>
      <c r="Q5" s="76">
        <v>2</v>
      </c>
      <c r="R5" s="77"/>
    </row>
    <row r="6" spans="1:18" ht="14.25" customHeight="1">
      <c r="A6" s="48" t="s">
        <v>54</v>
      </c>
      <c r="B6" s="68"/>
      <c r="C6" s="94">
        <v>37</v>
      </c>
      <c r="D6" s="55">
        <f t="shared" si="0"/>
      </c>
      <c r="E6" s="73" t="s">
        <v>60</v>
      </c>
      <c r="F6" s="57"/>
      <c r="N6" s="82"/>
      <c r="O6" s="83"/>
      <c r="P6" s="84" t="s">
        <v>30</v>
      </c>
      <c r="Q6" s="76">
        <v>12.5</v>
      </c>
      <c r="R6" s="77"/>
    </row>
    <row r="7" spans="1:18" ht="14.25" customHeight="1">
      <c r="A7" s="48" t="s">
        <v>11</v>
      </c>
      <c r="B7" s="68"/>
      <c r="C7" s="55">
        <v>74</v>
      </c>
      <c r="D7" s="55">
        <f t="shared" si="0"/>
      </c>
      <c r="E7" s="56"/>
      <c r="F7" s="56"/>
      <c r="N7" s="82"/>
      <c r="O7" s="83"/>
      <c r="P7" s="84" t="s">
        <v>59</v>
      </c>
      <c r="Q7" s="76">
        <v>16</v>
      </c>
      <c r="R7" s="77"/>
    </row>
    <row r="8" spans="1:18" ht="14.25" customHeight="1">
      <c r="A8" s="48" t="s">
        <v>9</v>
      </c>
      <c r="B8" s="68"/>
      <c r="C8" s="55">
        <v>97</v>
      </c>
      <c r="D8" s="55">
        <f t="shared" si="0"/>
      </c>
      <c r="E8" s="56" t="s">
        <v>57</v>
      </c>
      <c r="F8" s="56"/>
      <c r="N8" s="82"/>
      <c r="O8" s="83"/>
      <c r="P8" s="84" t="s">
        <v>33</v>
      </c>
      <c r="Q8" s="76">
        <v>650</v>
      </c>
      <c r="R8" s="77"/>
    </row>
    <row r="9" spans="1:18" ht="14.25" customHeight="1">
      <c r="A9" s="48" t="s">
        <v>42</v>
      </c>
      <c r="B9" s="68">
        <v>0</v>
      </c>
      <c r="C9" s="55">
        <v>115</v>
      </c>
      <c r="D9" s="55">
        <f t="shared" si="0"/>
      </c>
      <c r="E9" s="56" t="s">
        <v>61</v>
      </c>
      <c r="F9" s="56"/>
      <c r="N9" s="82"/>
      <c r="O9" s="83"/>
      <c r="P9" s="83"/>
      <c r="Q9" s="83"/>
      <c r="R9" s="77"/>
    </row>
    <row r="10" spans="1:18" ht="14.25" customHeight="1">
      <c r="A10" s="48" t="s">
        <v>58</v>
      </c>
      <c r="B10" s="68">
        <v>0</v>
      </c>
      <c r="C10" s="55">
        <v>130</v>
      </c>
      <c r="D10" s="55">
        <f t="shared" si="0"/>
      </c>
      <c r="E10" s="56" t="s">
        <v>62</v>
      </c>
      <c r="F10" s="56"/>
      <c r="N10" s="82"/>
      <c r="O10" s="84"/>
      <c r="P10" s="85" t="s">
        <v>38</v>
      </c>
      <c r="Q10" s="86"/>
      <c r="R10" s="77"/>
    </row>
    <row r="11" spans="1:18" ht="14.25" customHeight="1">
      <c r="A11" s="48"/>
      <c r="B11" s="54"/>
      <c r="C11" s="55"/>
      <c r="D11" s="55">
        <f t="shared" si="0"/>
      </c>
      <c r="E11" s="56"/>
      <c r="F11" s="56"/>
      <c r="N11" s="82"/>
      <c r="O11" s="84"/>
      <c r="P11" s="85" t="s">
        <v>39</v>
      </c>
      <c r="Q11" s="83"/>
      <c r="R11" s="77"/>
    </row>
    <row r="12" spans="1:18" ht="14.25" customHeight="1">
      <c r="A12" s="48" t="s">
        <v>4</v>
      </c>
      <c r="B12" s="54">
        <f>SUM(B3:B11)</f>
        <v>2296.13</v>
      </c>
      <c r="C12" s="55">
        <f>D12/B12*1000</f>
        <v>37.54289021092011</v>
      </c>
      <c r="D12" s="55">
        <f>SUM(D3:D11)</f>
        <v>86.2033565</v>
      </c>
      <c r="E12" s="74" t="s">
        <v>63</v>
      </c>
      <c r="F12" s="56"/>
      <c r="N12" s="82"/>
      <c r="O12" s="86"/>
      <c r="P12" s="86"/>
      <c r="Q12" s="86"/>
      <c r="R12" s="77"/>
    </row>
    <row r="13" spans="1:18" ht="24">
      <c r="A13" s="48" t="s">
        <v>5</v>
      </c>
      <c r="B13" s="54">
        <f>-1.7*6</f>
        <v>-10.2</v>
      </c>
      <c r="C13" s="55">
        <f>C4</f>
        <v>47.77</v>
      </c>
      <c r="D13" s="55">
        <f t="shared" si="0"/>
        <v>-0.487254</v>
      </c>
      <c r="E13" s="66"/>
      <c r="F13" s="56"/>
      <c r="N13" s="82"/>
      <c r="O13" s="84" t="s">
        <v>41</v>
      </c>
      <c r="P13" s="86">
        <f>ROUND((Q4-Q3)/Q8,1)</f>
        <v>7.7</v>
      </c>
      <c r="Q13" s="87" t="s">
        <v>40</v>
      </c>
      <c r="R13" s="88">
        <f>ROUND((75/60)*P13,2)</f>
        <v>9.63</v>
      </c>
    </row>
    <row r="14" spans="1:18" ht="14.25" customHeight="1">
      <c r="A14" s="48" t="s">
        <v>6</v>
      </c>
      <c r="B14" s="55">
        <f>B12+B13</f>
        <v>2285.9300000000003</v>
      </c>
      <c r="D14" s="55">
        <f>D12+D13</f>
        <v>85.7161025</v>
      </c>
      <c r="E14" s="74" t="s">
        <v>56</v>
      </c>
      <c r="F14" s="56"/>
      <c r="N14" s="82"/>
      <c r="O14" s="83"/>
      <c r="P14" s="84" t="s">
        <v>28</v>
      </c>
      <c r="Q14" s="83">
        <v>1.7</v>
      </c>
      <c r="R14" s="77"/>
    </row>
    <row r="15" spans="2:18" ht="14.25" customHeight="1">
      <c r="B15" s="58" t="s">
        <v>7</v>
      </c>
      <c r="C15" s="59">
        <f>D14/B14*1000</f>
        <v>37.497256040211205</v>
      </c>
      <c r="D15" s="53" t="s">
        <v>8</v>
      </c>
      <c r="N15" s="82"/>
      <c r="O15" s="83"/>
      <c r="P15" s="84" t="s">
        <v>31</v>
      </c>
      <c r="Q15" s="83">
        <f>ROUND((Q4-Q3)/Q8*(Q7/60),2)</f>
        <v>2.05</v>
      </c>
      <c r="R15" s="77"/>
    </row>
    <row r="16" spans="1:18" ht="14.25" customHeight="1">
      <c r="A16" s="75" t="s">
        <v>43</v>
      </c>
      <c r="B16" s="58">
        <f>B14-((Q19-Q18)*6)</f>
        <v>2107.4300000000003</v>
      </c>
      <c r="C16" s="95">
        <f>D16/B16*1000</f>
        <v>36.60767024290249</v>
      </c>
      <c r="D16" s="96">
        <f>D14-(((Q19-Q18)*6)*48)/1000</f>
        <v>77.14810250000001</v>
      </c>
      <c r="N16" s="82"/>
      <c r="O16" s="83"/>
      <c r="P16" s="89" t="s">
        <v>34</v>
      </c>
      <c r="Q16" s="83">
        <f>Q5*Q6</f>
        <v>25</v>
      </c>
      <c r="R16" s="77"/>
    </row>
    <row r="17" spans="1:18" ht="14.25" customHeight="1">
      <c r="A17" s="107">
        <f>IF(B12&gt;'CG Chart Data'!B13,"Over Max Gross","")</f>
      </c>
      <c r="B17" s="108"/>
      <c r="C17" s="61" t="s">
        <v>19</v>
      </c>
      <c r="D17" s="61"/>
      <c r="N17" s="82"/>
      <c r="O17" s="83"/>
      <c r="P17" s="84" t="s">
        <v>35</v>
      </c>
      <c r="Q17" s="83">
        <v>1</v>
      </c>
      <c r="R17" s="77"/>
    </row>
    <row r="18" spans="1:18" ht="14.25" customHeight="1" thickBot="1">
      <c r="A18" s="107">
        <f>IF(AND('CG Chart Data'!D9="Bad",A17=""),"CG Out of Limits","")</f>
      </c>
      <c r="B18" s="108"/>
      <c r="C18" s="61" t="s">
        <v>20</v>
      </c>
      <c r="D18" s="61"/>
      <c r="N18" s="82"/>
      <c r="O18" s="83"/>
      <c r="P18" s="84" t="s">
        <v>36</v>
      </c>
      <c r="Q18" s="90">
        <f>Q6*0.5</f>
        <v>6.25</v>
      </c>
      <c r="R18" s="91">
        <f>Q6*0.75</f>
        <v>9.375</v>
      </c>
    </row>
    <row r="19" spans="1:19" ht="14.25" customHeight="1">
      <c r="A19" s="107">
        <f>IF(AND('CG Chart Data'!D26="Bad",A17=""),"CG Moment out of Limits","")</f>
      </c>
      <c r="B19" s="108"/>
      <c r="C19" s="61" t="s">
        <v>21</v>
      </c>
      <c r="D19" s="61"/>
      <c r="N19" s="100"/>
      <c r="O19" s="92"/>
      <c r="P19" s="101" t="s">
        <v>55</v>
      </c>
      <c r="Q19" s="92">
        <f>SUM(Q14:Q18)</f>
        <v>36</v>
      </c>
      <c r="R19" s="93">
        <f>SUM(R18,Q14:Q17)</f>
        <v>39.125</v>
      </c>
      <c r="S19" s="75"/>
    </row>
    <row r="20" spans="1:18" ht="61.5" customHeight="1">
      <c r="A20" s="105">
        <f>IF(AND('CG Chart Data'!B12&gt;0,'W&amp;B'!B14&lt;'CG Chart Data'!B13,A17="",A18="",A19=""),"You are "&amp;FIXED('CG Chart Data'!B12,1,0)&amp;" pounds over the max landing weight. You must fly approximately "&amp;FIXED('CG Chart Data'!B12/'CG Chart Data'!B15,1,0)&amp;" minute(s) until you are light enough to land.","")</f>
      </c>
      <c r="B20" s="106"/>
      <c r="C20" s="103" t="s">
        <v>64</v>
      </c>
      <c r="D20" s="104"/>
      <c r="Q20" s="98">
        <f>IF(Q19&gt;=E4,"You need to Refuel!","")</f>
      </c>
      <c r="R20" s="98">
        <f>IF(R19&gt;=E4,"You need to Refuel!","")</f>
      </c>
    </row>
    <row r="21" spans="2:3" ht="12" customHeight="1">
      <c r="B21" s="62"/>
      <c r="C21" s="63"/>
    </row>
    <row r="22" spans="1:5" ht="12" customHeight="1">
      <c r="A22" s="99" t="s">
        <v>65</v>
      </c>
      <c r="C22" s="63"/>
      <c r="E22" s="67"/>
    </row>
    <row r="23" spans="1:8" s="64" customFormat="1" ht="18" customHeight="1">
      <c r="A23" s="70" t="s">
        <v>26</v>
      </c>
      <c r="B23" s="69" t="s">
        <v>24</v>
      </c>
      <c r="C23" s="64" t="s">
        <v>25</v>
      </c>
      <c r="F23" s="65"/>
      <c r="G23" s="65"/>
      <c r="H23" s="65"/>
    </row>
    <row r="24" spans="6:8" s="64" customFormat="1" ht="18" customHeight="1">
      <c r="F24" s="65"/>
      <c r="G24" s="65"/>
      <c r="H24" s="65"/>
    </row>
    <row r="25" spans="6:8" s="64" customFormat="1" ht="18" customHeight="1">
      <c r="F25" s="65"/>
      <c r="G25" s="65"/>
      <c r="H25" s="65"/>
    </row>
    <row r="26" spans="6:8" s="64" customFormat="1" ht="18" customHeight="1">
      <c r="F26" s="65"/>
      <c r="G26" s="65"/>
      <c r="H26" s="65"/>
    </row>
    <row r="27" spans="6:8" s="64" customFormat="1" ht="18" customHeight="1">
      <c r="F27" s="65"/>
      <c r="G27" s="65"/>
      <c r="H27" s="65"/>
    </row>
    <row r="28" spans="6:8" s="64" customFormat="1" ht="18" customHeight="1">
      <c r="F28" s="65"/>
      <c r="G28" s="65"/>
      <c r="H28" s="65"/>
    </row>
    <row r="29" spans="6:8" s="64" customFormat="1" ht="18" customHeight="1">
      <c r="F29" s="65"/>
      <c r="G29" s="65"/>
      <c r="H29" s="65"/>
    </row>
    <row r="30" spans="6:8" s="64" customFormat="1" ht="18" customHeight="1">
      <c r="F30" s="65"/>
      <c r="G30" s="65"/>
      <c r="H30" s="65"/>
    </row>
    <row r="31" spans="6:8" s="64" customFormat="1" ht="18" customHeight="1">
      <c r="F31" s="65"/>
      <c r="G31" s="65"/>
      <c r="H31" s="65"/>
    </row>
    <row r="32" spans="6:8" s="64" customFormat="1" ht="18" customHeight="1">
      <c r="F32" s="65"/>
      <c r="G32" s="65"/>
      <c r="H32" s="65"/>
    </row>
    <row r="33" spans="6:8" s="64" customFormat="1" ht="18" customHeight="1">
      <c r="F33" s="65"/>
      <c r="G33" s="65"/>
      <c r="H33" s="65"/>
    </row>
    <row r="34" spans="6:8" s="64" customFormat="1" ht="18" customHeight="1">
      <c r="F34" s="65"/>
      <c r="G34" s="65"/>
      <c r="H34" s="65"/>
    </row>
    <row r="35" spans="6:8" s="64" customFormat="1" ht="18" customHeight="1">
      <c r="F35" s="65"/>
      <c r="G35" s="65"/>
      <c r="H35" s="65"/>
    </row>
    <row r="36" spans="6:8" s="64" customFormat="1" ht="18" customHeight="1">
      <c r="F36" s="65"/>
      <c r="G36" s="65"/>
      <c r="H36" s="65"/>
    </row>
    <row r="37" spans="6:8" s="64" customFormat="1" ht="18" customHeight="1">
      <c r="F37" s="65"/>
      <c r="G37" s="65"/>
      <c r="H37" s="65"/>
    </row>
    <row r="38" spans="6:8" s="64" customFormat="1" ht="18" customHeight="1">
      <c r="F38" s="65"/>
      <c r="G38" s="65"/>
      <c r="H38" s="65"/>
    </row>
    <row r="39" spans="6:8" s="64" customFormat="1" ht="18" customHeight="1">
      <c r="F39" s="65"/>
      <c r="G39" s="65"/>
      <c r="H39" s="65"/>
    </row>
    <row r="40" spans="6:8" s="64" customFormat="1" ht="18" customHeight="1">
      <c r="F40" s="65"/>
      <c r="G40" s="65"/>
      <c r="H40" s="65"/>
    </row>
    <row r="41" spans="6:8" s="64" customFormat="1" ht="18" customHeight="1">
      <c r="F41" s="65"/>
      <c r="G41" s="65"/>
      <c r="H41" s="65"/>
    </row>
    <row r="42" spans="6:8" s="64" customFormat="1" ht="18" customHeight="1">
      <c r="F42" s="65"/>
      <c r="G42" s="65"/>
      <c r="H42" s="65"/>
    </row>
    <row r="43" spans="6:8" s="64" customFormat="1" ht="18" customHeight="1">
      <c r="F43" s="65"/>
      <c r="G43" s="65"/>
      <c r="H43" s="65"/>
    </row>
    <row r="44" spans="6:8" s="64" customFormat="1" ht="18" customHeight="1">
      <c r="F44" s="65"/>
      <c r="G44" s="65"/>
      <c r="H44" s="65"/>
    </row>
    <row r="45" spans="6:8" s="64" customFormat="1" ht="18" customHeight="1">
      <c r="F45" s="65"/>
      <c r="G45" s="65"/>
      <c r="H45" s="65"/>
    </row>
    <row r="46" spans="6:8" s="64" customFormat="1" ht="18" customHeight="1">
      <c r="F46" s="65"/>
      <c r="G46" s="65"/>
      <c r="H46" s="65"/>
    </row>
    <row r="47" spans="6:8" s="64" customFormat="1" ht="18" customHeight="1">
      <c r="F47" s="65"/>
      <c r="G47" s="65"/>
      <c r="H47" s="65"/>
    </row>
    <row r="48" spans="6:8" s="64" customFormat="1" ht="18" customHeight="1">
      <c r="F48" s="65"/>
      <c r="G48" s="65"/>
      <c r="H48" s="65"/>
    </row>
    <row r="49" spans="6:8" s="64" customFormat="1" ht="18" customHeight="1">
      <c r="F49" s="65"/>
      <c r="G49" s="65"/>
      <c r="H49" s="65"/>
    </row>
    <row r="50" spans="6:8" s="64" customFormat="1" ht="18" customHeight="1">
      <c r="F50" s="65"/>
      <c r="G50" s="65"/>
      <c r="H50" s="65"/>
    </row>
    <row r="51" spans="6:8" s="64" customFormat="1" ht="18" customHeight="1">
      <c r="F51" s="65"/>
      <c r="G51" s="65"/>
      <c r="H51" s="65"/>
    </row>
    <row r="52" spans="6:8" s="64" customFormat="1" ht="18" customHeight="1">
      <c r="F52" s="65"/>
      <c r="G52" s="65"/>
      <c r="H52" s="65"/>
    </row>
    <row r="53" spans="6:8" s="64" customFormat="1" ht="18" customHeight="1">
      <c r="F53" s="65"/>
      <c r="G53" s="65"/>
      <c r="H53" s="65"/>
    </row>
    <row r="54" spans="6:8" s="64" customFormat="1" ht="18" customHeight="1">
      <c r="F54" s="65"/>
      <c r="G54" s="65"/>
      <c r="H54" s="65"/>
    </row>
    <row r="55" spans="6:8" s="64" customFormat="1" ht="18" customHeight="1">
      <c r="F55" s="65"/>
      <c r="G55" s="65"/>
      <c r="H55" s="65"/>
    </row>
    <row r="56" spans="6:8" s="64" customFormat="1" ht="18" customHeight="1">
      <c r="F56" s="65"/>
      <c r="G56" s="65"/>
      <c r="H56" s="65"/>
    </row>
    <row r="57" spans="6:8" s="64" customFormat="1" ht="18" customHeight="1">
      <c r="F57" s="65"/>
      <c r="G57" s="65"/>
      <c r="H57" s="65"/>
    </row>
    <row r="58" spans="6:8" s="64" customFormat="1" ht="18" customHeight="1">
      <c r="F58" s="65"/>
      <c r="G58" s="65"/>
      <c r="H58" s="65"/>
    </row>
    <row r="59" spans="6:8" s="64" customFormat="1" ht="18" customHeight="1">
      <c r="F59" s="65"/>
      <c r="G59" s="65"/>
      <c r="H59" s="65"/>
    </row>
  </sheetData>
  <sheetProtection/>
  <mergeCells count="5">
    <mergeCell ref="C20:D20"/>
    <mergeCell ref="A20:B20"/>
    <mergeCell ref="A19:B19"/>
    <mergeCell ref="A17:B17"/>
    <mergeCell ref="A18:B18"/>
  </mergeCells>
  <conditionalFormatting sqref="C14">
    <cfRule type="cellIs" priority="1" dxfId="7" operator="equal" stopIfTrue="1">
      <formula>0</formula>
    </cfRule>
  </conditionalFormatting>
  <conditionalFormatting sqref="A17:A19 Q20:R20">
    <cfRule type="cellIs" priority="2" dxfId="6" operator="notEqual" stopIfTrue="1">
      <formula>""</formula>
    </cfRule>
  </conditionalFormatting>
  <conditionalFormatting sqref="B14">
    <cfRule type="cellIs" priority="3" dxfId="5" operator="greaterThan" stopIfTrue="1">
      <formula>3100</formula>
    </cfRule>
    <cfRule type="cellIs" priority="4" dxfId="4" operator="equal" stopIfTrue="1">
      <formula>3100</formula>
    </cfRule>
  </conditionalFormatting>
  <printOptions horizontalCentered="1"/>
  <pageMargins left="0.57" right="0.56" top="0.49" bottom="0.56" header="0.39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C21" sqref="C21"/>
    </sheetView>
  </sheetViews>
  <sheetFormatPr defaultColWidth="8.8515625" defaultRowHeight="12.75"/>
  <cols>
    <col min="1" max="1" width="19.140625" style="1" customWidth="1"/>
    <col min="2" max="2" width="14.421875" style="0" customWidth="1"/>
    <col min="3" max="10" width="8.8515625" style="0" customWidth="1"/>
    <col min="11" max="11" width="9.421875" style="0" bestFit="1" customWidth="1"/>
    <col min="12" max="12" width="10.421875" style="0" bestFit="1" customWidth="1"/>
  </cols>
  <sheetData>
    <row r="1" ht="12.75" thickBot="1">
      <c r="E1" t="s">
        <v>49</v>
      </c>
    </row>
    <row r="2" spans="1:7" ht="36">
      <c r="A2" s="25" t="s">
        <v>13</v>
      </c>
      <c r="B2" s="26" t="s">
        <v>12</v>
      </c>
      <c r="E2" t="s">
        <v>44</v>
      </c>
      <c r="F2" t="s">
        <v>45</v>
      </c>
      <c r="G2" t="s">
        <v>46</v>
      </c>
    </row>
    <row r="3" spans="1:9" ht="12.75" thickBot="1">
      <c r="A3" s="27">
        <v>33</v>
      </c>
      <c r="B3" s="28">
        <v>1800</v>
      </c>
      <c r="E3" s="15">
        <f>'W&amp;B'!$E$4/(20/6)</f>
        <v>22.5</v>
      </c>
      <c r="F3" s="15"/>
      <c r="G3" s="15"/>
      <c r="H3">
        <f>H4/20</f>
        <v>3.75</v>
      </c>
      <c r="I3" s="97" t="s">
        <v>50</v>
      </c>
    </row>
    <row r="4" spans="1:9" ht="12.75" thickBot="1">
      <c r="A4" s="27">
        <v>33</v>
      </c>
      <c r="B4" s="28">
        <v>2250</v>
      </c>
      <c r="C4" s="38">
        <f>ATAN2(A5-A4,B5-B4)</f>
        <v>1.5615108793807015</v>
      </c>
      <c r="E4" s="2">
        <f>'W&amp;B'!B14</f>
        <v>2285.9300000000003</v>
      </c>
      <c r="F4" s="15">
        <f>'W&amp;B'!D14</f>
        <v>85.7161025</v>
      </c>
      <c r="G4" s="15">
        <f aca="true" t="shared" si="0" ref="G4:G24">F4/E4*1000</f>
        <v>37.497256040211205</v>
      </c>
      <c r="H4">
        <f>'W&amp;B'!E4</f>
        <v>75</v>
      </c>
      <c r="I4" t="s">
        <v>47</v>
      </c>
    </row>
    <row r="5" spans="1:7" ht="12">
      <c r="A5" s="27">
        <v>39.5</v>
      </c>
      <c r="B5" s="31">
        <v>2950</v>
      </c>
      <c r="C5" s="17"/>
      <c r="D5" s="18" t="str">
        <f>IF(A9&gt;=A3,"Good","Bad")</f>
        <v>Good</v>
      </c>
      <c r="E5" s="2">
        <f>E4-fuel_increment</f>
        <v>2263.4300000000003</v>
      </c>
      <c r="F5" s="15">
        <f>F4-fuel_increment*fuel_CG/1000</f>
        <v>84.6412775</v>
      </c>
      <c r="G5" s="15">
        <f t="shared" si="0"/>
        <v>37.39513813106656</v>
      </c>
    </row>
    <row r="6" spans="1:7" ht="12">
      <c r="A6" s="27">
        <v>48.5</v>
      </c>
      <c r="B6" s="31">
        <v>2950</v>
      </c>
      <c r="C6" s="19">
        <f>ATAN2(A9-A4,B9-B4)</f>
        <v>1.4462767478374052</v>
      </c>
      <c r="D6" s="28" t="str">
        <f>IF(C6&lt;C4,"Good","Bad")</f>
        <v>Good</v>
      </c>
      <c r="E6" s="2">
        <f aca="true" t="shared" si="1" ref="E6:E24">E5-fuel_increment</f>
        <v>2240.9300000000003</v>
      </c>
      <c r="F6" s="15">
        <f aca="true" t="shared" si="2" ref="F6:F24">F5-fuel_increment*fuel_CG/1000</f>
        <v>83.5664525</v>
      </c>
      <c r="G6" s="15">
        <f t="shared" si="0"/>
        <v>37.29096959744391</v>
      </c>
    </row>
    <row r="7" spans="1:7" ht="12.75" thickBot="1">
      <c r="A7" s="27">
        <v>48.5</v>
      </c>
      <c r="B7" s="31">
        <v>1800</v>
      </c>
      <c r="C7" s="19">
        <f>ATAN2(A9-A5,B9-B5)</f>
        <v>-1.5738121803764227</v>
      </c>
      <c r="D7" s="28" t="str">
        <f>IF(B9&lt;=B5,"Good","Bad")</f>
        <v>Good</v>
      </c>
      <c r="E7" s="2">
        <f t="shared" si="1"/>
        <v>2218.4300000000003</v>
      </c>
      <c r="F7" s="15">
        <f t="shared" si="2"/>
        <v>82.49162749999999</v>
      </c>
      <c r="G7" s="15">
        <f t="shared" si="0"/>
        <v>37.18468804514904</v>
      </c>
    </row>
    <row r="8" spans="1:7" ht="12">
      <c r="A8" s="47" t="s">
        <v>16</v>
      </c>
      <c r="B8" s="44" t="s">
        <v>17</v>
      </c>
      <c r="C8" s="31">
        <f>ATAN2(A9-A7,B9-B7)</f>
        <v>1.5934351105844122</v>
      </c>
      <c r="D8" s="28" t="str">
        <f>IF(A9&lt;=A7,"Good","Bad")</f>
        <v>Good</v>
      </c>
      <c r="E8" s="2">
        <f t="shared" si="1"/>
        <v>2195.9300000000003</v>
      </c>
      <c r="F8" s="15">
        <f t="shared" si="2"/>
        <v>81.41680249999999</v>
      </c>
      <c r="G8" s="15">
        <f t="shared" si="0"/>
        <v>37.07622852276711</v>
      </c>
    </row>
    <row r="9" spans="1:9" ht="12.75" thickBot="1">
      <c r="A9" s="29">
        <f>'W&amp;B'!C15</f>
        <v>37.497256040211205</v>
      </c>
      <c r="B9" s="46">
        <f>'W&amp;B'!B14</f>
        <v>2285.9300000000003</v>
      </c>
      <c r="C9" s="32"/>
      <c r="D9" s="34" t="str">
        <f>IF(AND(D5="Good",D6="Good",D7="good",D8="Good"),"Good","Bad")</f>
        <v>Good</v>
      </c>
      <c r="E9" s="2">
        <f t="shared" si="1"/>
        <v>2173.4300000000003</v>
      </c>
      <c r="F9" s="15">
        <f t="shared" si="2"/>
        <v>80.34197749999998</v>
      </c>
      <c r="G9" s="15">
        <f t="shared" si="0"/>
        <v>36.96552338929709</v>
      </c>
      <c r="H9">
        <f>H4-(5*H3)</f>
        <v>56.25</v>
      </c>
      <c r="I9" t="s">
        <v>47</v>
      </c>
    </row>
    <row r="10" spans="1:7" ht="12.75" thickBot="1">
      <c r="A10" s="11"/>
      <c r="B10" s="12"/>
      <c r="E10" s="2">
        <f t="shared" si="1"/>
        <v>2150.9300000000003</v>
      </c>
      <c r="F10" s="15">
        <f t="shared" si="2"/>
        <v>79.26715249999998</v>
      </c>
      <c r="G10" s="15">
        <f t="shared" si="0"/>
        <v>36.852502173478435</v>
      </c>
    </row>
    <row r="11" spans="1:7" ht="12">
      <c r="A11" s="17" t="s">
        <v>51</v>
      </c>
      <c r="B11" s="18">
        <f>'W&amp;B'!Q7</f>
        <v>16</v>
      </c>
      <c r="E11" s="2">
        <f t="shared" si="1"/>
        <v>2128.4300000000003</v>
      </c>
      <c r="F11" s="15">
        <f t="shared" si="2"/>
        <v>78.19232749999998</v>
      </c>
      <c r="G11" s="15">
        <f t="shared" si="0"/>
        <v>36.737091424195285</v>
      </c>
    </row>
    <row r="12" spans="1:7" ht="12">
      <c r="A12" s="19" t="s">
        <v>23</v>
      </c>
      <c r="B12" s="20">
        <f>'W&amp;B'!B12-B14</f>
        <v>-653.8699999999999</v>
      </c>
      <c r="E12" s="2">
        <f t="shared" si="1"/>
        <v>2105.9300000000003</v>
      </c>
      <c r="F12" s="15">
        <f t="shared" si="2"/>
        <v>77.11750249999997</v>
      </c>
      <c r="G12" s="15">
        <f t="shared" si="0"/>
        <v>36.61921455129086</v>
      </c>
    </row>
    <row r="13" spans="1:7" ht="12">
      <c r="A13" s="21" t="s">
        <v>18</v>
      </c>
      <c r="B13" s="22">
        <v>2960.2</v>
      </c>
      <c r="E13" s="2">
        <f t="shared" si="1"/>
        <v>2083.4300000000003</v>
      </c>
      <c r="F13" s="15">
        <f t="shared" si="2"/>
        <v>76.04267749999997</v>
      </c>
      <c r="G13" s="15">
        <f t="shared" si="0"/>
        <v>36.49879165606714</v>
      </c>
    </row>
    <row r="14" spans="1:9" ht="12.75" thickBot="1">
      <c r="A14" s="23" t="s">
        <v>22</v>
      </c>
      <c r="B14" s="24">
        <v>2950</v>
      </c>
      <c r="E14" s="2">
        <f t="shared" si="1"/>
        <v>2060.9300000000003</v>
      </c>
      <c r="F14" s="15">
        <f t="shared" si="2"/>
        <v>74.96785249999996</v>
      </c>
      <c r="G14" s="15">
        <f t="shared" si="0"/>
        <v>36.375739350681464</v>
      </c>
      <c r="H14">
        <f>H4-(10*H3)</f>
        <v>37.5</v>
      </c>
      <c r="I14" t="s">
        <v>47</v>
      </c>
    </row>
    <row r="15" spans="1:7" ht="12">
      <c r="A15" s="17" t="s">
        <v>52</v>
      </c>
      <c r="B15">
        <f>B11*6/60</f>
        <v>1.6</v>
      </c>
      <c r="E15" s="2">
        <f t="shared" si="1"/>
        <v>2038.4300000000003</v>
      </c>
      <c r="F15" s="15">
        <f t="shared" si="2"/>
        <v>73.89302749999996</v>
      </c>
      <c r="G15" s="15">
        <f t="shared" si="0"/>
        <v>36.24997056558231</v>
      </c>
    </row>
    <row r="16" spans="5:7" ht="12.75" thickBot="1">
      <c r="E16" s="2">
        <f t="shared" si="1"/>
        <v>2015.9300000000003</v>
      </c>
      <c r="F16" s="15">
        <f t="shared" si="2"/>
        <v>72.81820249999996</v>
      </c>
      <c r="G16" s="15">
        <f t="shared" si="0"/>
        <v>36.12139434404962</v>
      </c>
    </row>
    <row r="17" spans="1:7" ht="48.75" thickBot="1">
      <c r="A17" s="25" t="s">
        <v>14</v>
      </c>
      <c r="B17" s="26" t="s">
        <v>15</v>
      </c>
      <c r="E17" s="2">
        <f t="shared" si="1"/>
        <v>1993.4300000000003</v>
      </c>
      <c r="F17" s="15">
        <f t="shared" si="2"/>
        <v>71.74337749999995</v>
      </c>
      <c r="G17" s="15">
        <f t="shared" si="0"/>
        <v>35.98991562282094</v>
      </c>
    </row>
    <row r="18" spans="1:7" ht="12">
      <c r="A18" s="35">
        <v>59.5</v>
      </c>
      <c r="B18" s="28">
        <v>1800</v>
      </c>
      <c r="C18" s="39">
        <f>ATAN2(A19-A18,B19-B18)</f>
        <v>1.5385852494367873</v>
      </c>
      <c r="E18" s="2">
        <f t="shared" si="1"/>
        <v>1970.9300000000003</v>
      </c>
      <c r="F18" s="15">
        <f t="shared" si="2"/>
        <v>70.66855249999995</v>
      </c>
      <c r="G18" s="15">
        <f t="shared" si="0"/>
        <v>35.85543499769141</v>
      </c>
    </row>
    <row r="19" spans="1:9" ht="12">
      <c r="A19" s="35">
        <v>74</v>
      </c>
      <c r="B19" s="28">
        <v>2250</v>
      </c>
      <c r="C19" s="40">
        <f>ATAN2(A20-A19,B20-B19)</f>
        <v>1.5101564786759203</v>
      </c>
      <c r="E19" s="2">
        <f t="shared" si="1"/>
        <v>1948.4300000000003</v>
      </c>
      <c r="F19" s="15">
        <f t="shared" si="2"/>
        <v>69.59372749999994</v>
      </c>
      <c r="G19" s="15">
        <f t="shared" si="0"/>
        <v>35.717848472872994</v>
      </c>
      <c r="H19">
        <f>H4-(15*H3)</f>
        <v>18.75</v>
      </c>
      <c r="I19" t="s">
        <v>47</v>
      </c>
    </row>
    <row r="20" spans="1:11" ht="12">
      <c r="A20" s="35">
        <v>116.5</v>
      </c>
      <c r="B20" s="28">
        <v>2950</v>
      </c>
      <c r="C20" s="40">
        <f>ATAN2(A21-A20,B21-B20)</f>
        <v>0</v>
      </c>
      <c r="E20" s="2">
        <f t="shared" si="1"/>
        <v>1925.9300000000003</v>
      </c>
      <c r="F20" s="15">
        <f t="shared" si="2"/>
        <v>68.51890249999994</v>
      </c>
      <c r="G20" s="15">
        <f t="shared" si="0"/>
        <v>35.57704719278475</v>
      </c>
      <c r="K20" s="16"/>
    </row>
    <row r="21" spans="1:15" ht="12.75" thickBot="1">
      <c r="A21" s="35">
        <v>143</v>
      </c>
      <c r="B21" s="28">
        <v>2950</v>
      </c>
      <c r="C21" s="41">
        <f>ATAN2(A22-A21,B22-B21)</f>
        <v>-1.6194535435148731</v>
      </c>
      <c r="E21" s="2">
        <f t="shared" si="1"/>
        <v>1903.4300000000003</v>
      </c>
      <c r="F21" s="15">
        <f t="shared" si="2"/>
        <v>67.44407749999993</v>
      </c>
      <c r="G21" s="15">
        <f t="shared" si="0"/>
        <v>35.43291715482047</v>
      </c>
      <c r="H21" s="7"/>
      <c r="O21" s="16"/>
    </row>
    <row r="22" spans="1:15" ht="12.75" thickBot="1">
      <c r="A22" s="36">
        <v>87</v>
      </c>
      <c r="B22" s="30">
        <v>1800</v>
      </c>
      <c r="C22" s="42">
        <f>ATAN2(A25-A18,B25-B18)</f>
        <v>1.516898210614074</v>
      </c>
      <c r="D22" s="37" t="str">
        <f>IF(C22&lt;C18,"Good","Bad")</f>
        <v>Good</v>
      </c>
      <c r="E22" s="2">
        <f t="shared" si="1"/>
        <v>1880.9300000000003</v>
      </c>
      <c r="F22" s="15">
        <f t="shared" si="2"/>
        <v>66.36925249999993</v>
      </c>
      <c r="G22" s="15">
        <f t="shared" si="0"/>
        <v>35.28533890150081</v>
      </c>
      <c r="H22" s="7"/>
      <c r="O22" s="16"/>
    </row>
    <row r="23" spans="3:15" ht="12.75" thickBot="1">
      <c r="C23" s="19">
        <f>ATAN2(A25-A19,B25-B19)</f>
        <v>1.2555867049171083</v>
      </c>
      <c r="D23" s="28" t="str">
        <f>IF(C23&lt;C19,"Good","Bad")</f>
        <v>Good</v>
      </c>
      <c r="E23" s="2">
        <f t="shared" si="1"/>
        <v>1858.4300000000003</v>
      </c>
      <c r="F23" s="15">
        <f t="shared" si="2"/>
        <v>65.29442749999993</v>
      </c>
      <c r="G23" s="15">
        <f t="shared" si="0"/>
        <v>35.13418719026271</v>
      </c>
      <c r="O23" s="16"/>
    </row>
    <row r="24" spans="1:15" ht="12">
      <c r="A24" s="43" t="s">
        <v>16</v>
      </c>
      <c r="B24" s="44" t="s">
        <v>17</v>
      </c>
      <c r="C24" s="19">
        <f>ATAN2(A25-A20,B25-B20)</f>
        <v>-1.6171195686445654</v>
      </c>
      <c r="D24" s="28" t="str">
        <f>IF(C24&lt;=C20,"Good","Bad")</f>
        <v>Good</v>
      </c>
      <c r="E24" s="2">
        <f t="shared" si="1"/>
        <v>1835.9300000000003</v>
      </c>
      <c r="F24" s="15">
        <f t="shared" si="2"/>
        <v>64.21960249999992</v>
      </c>
      <c r="G24" s="15">
        <f t="shared" si="0"/>
        <v>34.97933063896767</v>
      </c>
      <c r="H24">
        <f>H4-(20*H3)</f>
        <v>0</v>
      </c>
      <c r="I24" t="s">
        <v>48</v>
      </c>
      <c r="L24" s="2"/>
      <c r="M24" s="15"/>
      <c r="N24" s="15"/>
      <c r="O24" s="16"/>
    </row>
    <row r="25" spans="1:14" ht="12.75" thickBot="1">
      <c r="A25" s="45">
        <f>'W&amp;B'!D14</f>
        <v>85.7161025</v>
      </c>
      <c r="B25" s="24">
        <f>'W&amp;B'!B14</f>
        <v>2285.9300000000003</v>
      </c>
      <c r="C25" s="19">
        <f>ATAN2(A25-A21,IF(B25=B21,-0.000001,B25-B21))</f>
        <v>-1.6568451520041243</v>
      </c>
      <c r="D25" s="28" t="str">
        <f>IF(C25&lt;=C21,"Good","Bad")</f>
        <v>Good</v>
      </c>
      <c r="L25" s="2"/>
      <c r="M25" s="15"/>
      <c r="N25" s="15"/>
    </row>
    <row r="26" spans="1:14" ht="12.75" thickBot="1">
      <c r="A26" s="3"/>
      <c r="B26" s="4"/>
      <c r="C26" s="33"/>
      <c r="D26" s="34" t="str">
        <f>IF(AND(D22="Good",D23="Good",D25="Good"),"Good","Bad")</f>
        <v>Good</v>
      </c>
      <c r="L26" s="2">
        <f>1.7*6</f>
        <v>10.2</v>
      </c>
      <c r="M26" s="15"/>
      <c r="N26" s="15"/>
    </row>
    <row r="27" spans="1:15" ht="12">
      <c r="A27" s="3"/>
      <c r="B27" s="4"/>
      <c r="L27" s="2"/>
      <c r="M27" s="15"/>
      <c r="N27" s="15"/>
      <c r="O27" s="16"/>
    </row>
    <row r="28" spans="1:14" ht="12">
      <c r="A28" s="3"/>
      <c r="B28" s="4"/>
      <c r="L28" s="2"/>
      <c r="M28" s="15"/>
      <c r="N28" s="15"/>
    </row>
    <row r="29" spans="12:14" ht="12">
      <c r="L29" s="2"/>
      <c r="M29" s="15"/>
      <c r="N29" s="15"/>
    </row>
    <row r="30" spans="12:16" ht="12">
      <c r="L30" s="2"/>
      <c r="M30" s="15"/>
      <c r="N30" s="15"/>
      <c r="P30" s="1"/>
    </row>
    <row r="31" spans="12:16" ht="12">
      <c r="L31" s="2"/>
      <c r="M31" s="15"/>
      <c r="N31" s="15"/>
      <c r="P31" s="1"/>
    </row>
    <row r="32" spans="4:16" ht="12">
      <c r="D32" s="8"/>
      <c r="L32" s="2"/>
      <c r="M32" s="15"/>
      <c r="N32" s="15"/>
      <c r="P32" s="1"/>
    </row>
    <row r="33" spans="3:16" ht="12">
      <c r="C33" s="5"/>
      <c r="D33" s="6"/>
      <c r="L33" s="2"/>
      <c r="M33" s="15"/>
      <c r="N33" s="15"/>
      <c r="P33" s="1"/>
    </row>
    <row r="34" spans="12:16" ht="12">
      <c r="L34" s="2"/>
      <c r="M34" s="15"/>
      <c r="N34" s="15"/>
      <c r="P34" s="1"/>
    </row>
    <row r="35" spans="12:16" ht="12">
      <c r="L35" s="2"/>
      <c r="M35" s="15"/>
      <c r="N35" s="15"/>
      <c r="P35" s="1"/>
    </row>
    <row r="36" spans="12:17" ht="12">
      <c r="L36" s="2"/>
      <c r="M36" s="15"/>
      <c r="N36" s="15"/>
      <c r="P36" s="9"/>
      <c r="Q36" s="10"/>
    </row>
    <row r="37" spans="12:17" ht="12">
      <c r="L37" s="2"/>
      <c r="M37" s="15"/>
      <c r="N37" s="15"/>
      <c r="P37" s="14"/>
      <c r="Q37" s="7"/>
    </row>
    <row r="38" spans="12:17" ht="12">
      <c r="L38" s="2"/>
      <c r="M38" s="15"/>
      <c r="N38" s="15"/>
      <c r="P38" s="3"/>
      <c r="Q38" s="4"/>
    </row>
    <row r="39" spans="12:17" ht="12">
      <c r="L39" s="2"/>
      <c r="M39" s="15"/>
      <c r="N39" s="15"/>
      <c r="P39" s="3"/>
      <c r="Q39" s="4"/>
    </row>
    <row r="40" spans="5:17" ht="12">
      <c r="E40" s="8"/>
      <c r="L40" s="2"/>
      <c r="M40" s="15"/>
      <c r="N40" s="15"/>
      <c r="P40" s="3"/>
      <c r="Q40" s="4"/>
    </row>
    <row r="41" spans="12:17" ht="12">
      <c r="L41" s="2"/>
      <c r="M41" s="15"/>
      <c r="N41" s="15"/>
      <c r="P41" s="13"/>
      <c r="Q41" s="4"/>
    </row>
    <row r="42" spans="12:16" ht="12">
      <c r="L42" s="2"/>
      <c r="M42" s="15"/>
      <c r="N42" s="15"/>
      <c r="P42" s="1"/>
    </row>
    <row r="43" spans="12:16" ht="12">
      <c r="L43" s="2"/>
      <c r="M43" s="15"/>
      <c r="N43" s="15"/>
      <c r="P43" s="1"/>
    </row>
    <row r="44" spans="12:16" ht="12">
      <c r="L44" s="2"/>
      <c r="M44" s="15"/>
      <c r="N44" s="15"/>
      <c r="P44" s="1"/>
    </row>
    <row r="45" spans="12:16" ht="12">
      <c r="L45" s="2"/>
      <c r="M45" s="15"/>
      <c r="P45" s="1"/>
    </row>
    <row r="46" spans="12:16" ht="12">
      <c r="L46" s="2"/>
      <c r="M46" s="15"/>
      <c r="P46" s="1"/>
    </row>
    <row r="47" spans="12:13" ht="12">
      <c r="L47" s="2"/>
      <c r="M47" s="15"/>
    </row>
    <row r="48" spans="12:13" ht="12">
      <c r="L48" s="2"/>
      <c r="M48" s="15"/>
    </row>
  </sheetData>
  <sheetProtection/>
  <conditionalFormatting sqref="E40">
    <cfRule type="cellIs" priority="1" dxfId="3" operator="equal" stopIfTrue="1">
      <formula>"CG Moment out of Limits"</formula>
    </cfRule>
    <cfRule type="cellIs" priority="2" dxfId="0" operator="equal" stopIfTrue="1">
      <formula>"Good"</formula>
    </cfRule>
  </conditionalFormatting>
  <conditionalFormatting sqref="D26 D9">
    <cfRule type="cellIs" priority="3" dxfId="1" operator="equal" stopIfTrue="1">
      <formula>"Bad"</formula>
    </cfRule>
    <cfRule type="cellIs" priority="4" dxfId="0" operator="equal" stopIfTrue="1">
      <formula>"Good"</formula>
    </cfRule>
  </conditionalFormatting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 reid</cp:lastModifiedBy>
  <cp:lastPrinted>2005-04-20T02:18:51Z</cp:lastPrinted>
  <dcterms:created xsi:type="dcterms:W3CDTF">1999-06-18T03:41:50Z</dcterms:created>
  <dcterms:modified xsi:type="dcterms:W3CDTF">2013-09-16T13:15:57Z</dcterms:modified>
  <cp:category/>
  <cp:version/>
  <cp:contentType/>
  <cp:contentStatus/>
</cp:coreProperties>
</file>